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S Mapping" state="visible" r:id="rId4"/>
    <sheet sheetId="2" name="Trial Balance" state="visible" r:id="rId5"/>
    <sheet sheetId="3" name="Profit &amp; Loss" state="visible" r:id="rId6"/>
    <sheet sheetId="4" name="Balance Sheet" state="visible" r:id="rId7"/>
    <sheet sheetId="5" name="Read Me" state="visible" r:id="rId8"/>
  </sheets>
  <calcPr calcId="171027"/>
</workbook>
</file>

<file path=xl/sharedStrings.xml><?xml version="1.0" encoding="utf-8"?>
<sst xmlns="http://schemas.openxmlformats.org/spreadsheetml/2006/main" count="211" uniqueCount="95">
  <si>
    <t>AccountCode</t>
  </si>
  <si>
    <t>FSLine</t>
  </si>
  <si>
    <t>Statement</t>
  </si>
  <si>
    <t>Section</t>
  </si>
  <si>
    <t>1001</t>
  </si>
  <si>
    <t>Cash &amp; Bank</t>
  </si>
  <si>
    <t>BS</t>
  </si>
  <si>
    <t>Current Asset</t>
  </si>
  <si>
    <t>1101</t>
  </si>
  <si>
    <t>Trade Receivables</t>
  </si>
  <si>
    <t>1201</t>
  </si>
  <si>
    <t>Inventory</t>
  </si>
  <si>
    <t>1301</t>
  </si>
  <si>
    <t>Prepaid Expenses</t>
  </si>
  <si>
    <t>1401</t>
  </si>
  <si>
    <t>Fixed Assets (Gross)</t>
  </si>
  <si>
    <t>Fixed Asset</t>
  </si>
  <si>
    <t>1402</t>
  </si>
  <si>
    <t>Accumulated Depreciation</t>
  </si>
  <si>
    <t>Contra-Asset</t>
  </si>
  <si>
    <t>2001</t>
  </si>
  <si>
    <t>Trade Payables</t>
  </si>
  <si>
    <t>Current Liability</t>
  </si>
  <si>
    <t>2002</t>
  </si>
  <si>
    <t>GST Payable</t>
  </si>
  <si>
    <t>2003</t>
  </si>
  <si>
    <t>Accrued Expenses</t>
  </si>
  <si>
    <t>2101</t>
  </si>
  <si>
    <t>Bank Loan</t>
  </si>
  <si>
    <t>Long-term Liability</t>
  </si>
  <si>
    <t>3001</t>
  </si>
  <si>
    <t>Share Capital</t>
  </si>
  <si>
    <t>Equity</t>
  </si>
  <si>
    <t>3002</t>
  </si>
  <si>
    <t>Retained Earnings (Opening)</t>
  </si>
  <si>
    <t>4001</t>
  </si>
  <si>
    <t>Revenue</t>
  </si>
  <si>
    <t>P&amp;L</t>
  </si>
  <si>
    <t>5001</t>
  </si>
  <si>
    <t>Cost of Goods Sold</t>
  </si>
  <si>
    <t>5101</t>
  </si>
  <si>
    <t>Salaries &amp; Wages</t>
  </si>
  <si>
    <t>Operating Expense</t>
  </si>
  <si>
    <t>5102</t>
  </si>
  <si>
    <t>Rent Expense</t>
  </si>
  <si>
    <t>5103</t>
  </si>
  <si>
    <t>Depreciation Expense</t>
  </si>
  <si>
    <t>5104</t>
  </si>
  <si>
    <t>Utilities Expense</t>
  </si>
  <si>
    <t>5105</t>
  </si>
  <si>
    <t>Marketing Expense</t>
  </si>
  <si>
    <t>5106</t>
  </si>
  <si>
    <t>Other Operating Expenses</t>
  </si>
  <si>
    <t>5201</t>
  </si>
  <si>
    <t>Interest Expense</t>
  </si>
  <si>
    <t>Non-operating Expense</t>
  </si>
  <si>
    <t>AccountName</t>
  </si>
  <si>
    <t>Debit</t>
  </si>
  <si>
    <t>Credit</t>
  </si>
  <si>
    <t>Cash in Hand</t>
  </si>
  <si>
    <t/>
  </si>
  <si>
    <t>1002</t>
  </si>
  <si>
    <t>Bank Account</t>
  </si>
  <si>
    <t>Bank Loan (Long-term)</t>
  </si>
  <si>
    <t>Sales Revenue</t>
  </si>
  <si>
    <t>Total</t>
  </si>
  <si>
    <t>Balance check (Debit - Credit, should be zero)</t>
  </si>
  <si>
    <t>Profit &amp; Loss Statement</t>
  </si>
  <si>
    <t>Gross Profit</t>
  </si>
  <si>
    <t>Operating Expenses</t>
  </si>
  <si>
    <t>Total Operating Expenses</t>
  </si>
  <si>
    <t>Operating Profit</t>
  </si>
  <si>
    <t>Net Profit</t>
  </si>
  <si>
    <t>Gross Margin %</t>
  </si>
  <si>
    <t>Net Margin %</t>
  </si>
  <si>
    <t>Balance Sheet</t>
  </si>
  <si>
    <t>Assets</t>
  </si>
  <si>
    <t>Total Current Assets</t>
  </si>
  <si>
    <t>Less: Accumulated Depreciation</t>
  </si>
  <si>
    <t>Net Fixed Assets</t>
  </si>
  <si>
    <t>Total Assets</t>
  </si>
  <si>
    <t>Liabilities</t>
  </si>
  <si>
    <t>Total Current Liabilities</t>
  </si>
  <si>
    <t>Total Liabilities</t>
  </si>
  <si>
    <t>Retained Earnings, opening</t>
  </si>
  <si>
    <t>Add: Net Profit for the year</t>
  </si>
  <si>
    <t>Retained Earnings, closing</t>
  </si>
  <si>
    <t>Total Equity</t>
  </si>
  <si>
    <t>Total Liabilities + Equity</t>
  </si>
  <si>
    <t>Balance check (Assets - Liabilities&amp;Equity, should be zero)</t>
  </si>
  <si>
    <t>Trial Balance to Financial Statements Template — Eduints</t>
  </si>
  <si>
    <t>A real 22-account chart of accounts (Trial Balance), tagged with an FS Line via a live XLOOKUP against the FS Mapping sheet, auto-building a full Profit &amp; Loss and Balance Sheet via SUMIF — change any figure on the Trial Balance and both statements, and the balance check, recalculate.</t>
  </si>
  <si>
    <t>The Balance Sheet pulls Net Profit live from the Profit &amp; Loss sheet into Retained Earnings, so it balances exactly whenever the Trial Balance itself balances (Debit total = Credit total) — try changing a number on the Trial Balance to break the balance check, then fix it, and watch both statements and the balance check respond.</t>
  </si>
  <si>
    <t>To add a new account: add a row to the Trial Balance, add a matching row to FS Mapping with its FS Line, and extend the relevant SUMIF range if you add rows beyond the existing 22.</t>
  </si>
  <si>
    <t>Full explanation: https://eduints.com/guides/building-a-finance-ready-excel-workbook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</si>
</sst>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</font>
    <font>
      <b/>
      <sz val="13"/>
    </font>
    <font>
      <b/>
      <color rgb="FFC9962B"/>
      <sz val="13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3" fontId="1" fillId="2" borderId="0" xfId="0" applyNumberFormat="1" applyFont="1" applyFill="1" applyAlignment="1">
      <alignment vertical="center"/>
    </xf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/>
    <xf numFmtId="164" fontId="0" fillId="0" borderId="0" xfId="0" applyNumberFormat="1"/>
    <xf numFmtId="3" fontId="4" fillId="0" borderId="0" xfId="0" applyNumberFormat="1" applyFont="1"/>
    <xf numFmtId="0" fontId="6" fillId="0" borderId="0" xfId="0" applyFont="1"/>
  </cellXfs>
  <cellStyles count="1">
    <cellStyle name="Normal" xfId="0" builtinId="0"/>
  </cellStyles>
  <dxfs count="4">
    <dxf>
      <font>
        <b/>
        <color rgb="FFFFFFFF"/>
      </font>
      <fill>
        <patternFill patternType="solid">
          <bgColor rgb="FFDC2626"/>
        </patternFill>
      </fill>
    </dxf>
    <dxf>
      <font>
        <b/>
        <color rgb="FFFFFFFF"/>
      </font>
      <fill>
        <patternFill patternType="solid">
          <bgColor rgb="FF16A34A"/>
        </patternFill>
      </fill>
    </dxf>
    <dxf>
      <font>
        <b/>
        <color rgb="FFFFFFFF"/>
      </font>
      <fill>
        <patternFill patternType="solid">
          <bgColor rgb="FFDC2626"/>
        </patternFill>
      </fill>
    </dxf>
    <dxf>
      <font>
        <b/>
        <color rgb="FFFFFFFF"/>
      </font>
      <fill>
        <patternFill patternType="solid">
          <bgColor rgb="FF16A34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14" customWidth="1"/>
    <col min="2" max="2" width="28" customWidth="1"/>
    <col min="3" max="3" width="14" customWidth="1"/>
    <col min="4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16</v>
      </c>
    </row>
    <row r="7" spans="1:4" x14ac:dyDescent="0.25">
      <c r="A7" t="s">
        <v>17</v>
      </c>
      <c r="B7" t="s">
        <v>18</v>
      </c>
      <c r="C7" t="s">
        <v>6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22</v>
      </c>
    </row>
    <row r="9" spans="1:4" x14ac:dyDescent="0.25">
      <c r="A9" t="s">
        <v>23</v>
      </c>
      <c r="B9" t="s">
        <v>24</v>
      </c>
      <c r="C9" t="s">
        <v>6</v>
      </c>
      <c r="D9" t="s">
        <v>22</v>
      </c>
    </row>
    <row r="10" spans="1:4" x14ac:dyDescent="0.25">
      <c r="A10" t="s">
        <v>25</v>
      </c>
      <c r="B10" t="s">
        <v>26</v>
      </c>
      <c r="C10" t="s">
        <v>6</v>
      </c>
      <c r="D10" t="s">
        <v>22</v>
      </c>
    </row>
    <row r="11" spans="1:4" x14ac:dyDescent="0.25">
      <c r="A11" t="s">
        <v>27</v>
      </c>
      <c r="B11" t="s">
        <v>28</v>
      </c>
      <c r="C11" t="s">
        <v>6</v>
      </c>
      <c r="D11" t="s">
        <v>29</v>
      </c>
    </row>
    <row r="12" spans="1:4" x14ac:dyDescent="0.25">
      <c r="A12" t="s">
        <v>30</v>
      </c>
      <c r="B12" t="s">
        <v>31</v>
      </c>
      <c r="C12" t="s">
        <v>6</v>
      </c>
      <c r="D12" t="s">
        <v>32</v>
      </c>
    </row>
    <row r="13" spans="1:4" x14ac:dyDescent="0.25">
      <c r="A13" t="s">
        <v>33</v>
      </c>
      <c r="B13" t="s">
        <v>34</v>
      </c>
      <c r="C13" t="s">
        <v>6</v>
      </c>
      <c r="D13" t="s">
        <v>32</v>
      </c>
    </row>
    <row r="14" spans="1:4" x14ac:dyDescent="0.25">
      <c r="A14" t="s">
        <v>35</v>
      </c>
      <c r="B14" t="s">
        <v>36</v>
      </c>
      <c r="C14" t="s">
        <v>37</v>
      </c>
      <c r="D14" t="s">
        <v>36</v>
      </c>
    </row>
    <row r="15" spans="1:4" x14ac:dyDescent="0.25">
      <c r="A15" t="s">
        <v>38</v>
      </c>
      <c r="B15" t="s">
        <v>39</v>
      </c>
      <c r="C15" t="s">
        <v>37</v>
      </c>
      <c r="D15" t="s">
        <v>39</v>
      </c>
    </row>
    <row r="16" spans="1:4" x14ac:dyDescent="0.25">
      <c r="A16" t="s">
        <v>40</v>
      </c>
      <c r="B16" t="s">
        <v>41</v>
      </c>
      <c r="C16" t="s">
        <v>37</v>
      </c>
      <c r="D16" t="s">
        <v>42</v>
      </c>
    </row>
    <row r="17" spans="1:4" x14ac:dyDescent="0.25">
      <c r="A17" t="s">
        <v>43</v>
      </c>
      <c r="B17" t="s">
        <v>44</v>
      </c>
      <c r="C17" t="s">
        <v>37</v>
      </c>
      <c r="D17" t="s">
        <v>42</v>
      </c>
    </row>
    <row r="18" spans="1:4" x14ac:dyDescent="0.25">
      <c r="A18" t="s">
        <v>45</v>
      </c>
      <c r="B18" t="s">
        <v>46</v>
      </c>
      <c r="C18" t="s">
        <v>37</v>
      </c>
      <c r="D18" t="s">
        <v>42</v>
      </c>
    </row>
    <row r="19" spans="1:4" x14ac:dyDescent="0.25">
      <c r="A19" t="s">
        <v>47</v>
      </c>
      <c r="B19" t="s">
        <v>48</v>
      </c>
      <c r="C19" t="s">
        <v>37</v>
      </c>
      <c r="D19" t="s">
        <v>42</v>
      </c>
    </row>
    <row r="20" spans="1:4" x14ac:dyDescent="0.25">
      <c r="A20" t="s">
        <v>49</v>
      </c>
      <c r="B20" t="s">
        <v>50</v>
      </c>
      <c r="C20" t="s">
        <v>37</v>
      </c>
      <c r="D20" t="s">
        <v>42</v>
      </c>
    </row>
    <row r="21" spans="1:4" x14ac:dyDescent="0.25">
      <c r="A21" t="s">
        <v>51</v>
      </c>
      <c r="B21" t="s">
        <v>52</v>
      </c>
      <c r="C21" t="s">
        <v>37</v>
      </c>
      <c r="D21" t="s">
        <v>42</v>
      </c>
    </row>
    <row r="22" spans="1:4" x14ac:dyDescent="0.25">
      <c r="A22" t="s">
        <v>53</v>
      </c>
      <c r="B22" t="s">
        <v>54</v>
      </c>
      <c r="C22" t="s">
        <v>37</v>
      </c>
      <c r="D2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28" customWidth="1"/>
    <col min="3" max="4" width="16" style="2" customWidth="1"/>
    <col min="5" max="5" width="28" customWidth="1"/>
  </cols>
  <sheetData>
    <row r="1" spans="1:5" s="1" customFormat="1" x14ac:dyDescent="0.25">
      <c r="A1" s="1" t="s">
        <v>0</v>
      </c>
      <c r="B1" s="1" t="s">
        <v>56</v>
      </c>
      <c r="C1" s="3" t="s">
        <v>57</v>
      </c>
      <c r="D1" s="3" t="s">
        <v>58</v>
      </c>
      <c r="E1" s="1" t="s">
        <v>1</v>
      </c>
    </row>
    <row r="2" spans="1:5" x14ac:dyDescent="0.25">
      <c r="A2" t="s">
        <v>4</v>
      </c>
      <c r="B2" t="s">
        <v>59</v>
      </c>
      <c r="C2" s="2">
        <v>150000</v>
      </c>
      <c r="D2" s="2" t="s">
        <v>60</v>
      </c>
      <c r="E2">
        <f>XLOOKUP(A2,'FS Mapping'!A:A,'FS Mapping'!B:B)</f>
      </c>
    </row>
    <row r="3" spans="1:5" x14ac:dyDescent="0.25">
      <c r="A3" t="s">
        <v>61</v>
      </c>
      <c r="B3" t="s">
        <v>62</v>
      </c>
      <c r="C3" s="2">
        <v>2400000</v>
      </c>
      <c r="D3" s="2" t="s">
        <v>60</v>
      </c>
      <c r="E3">
        <f>XLOOKUP(A3,'FS Mapping'!A:A,'FS Mapping'!B:B)</f>
      </c>
    </row>
    <row r="4" spans="1:5" x14ac:dyDescent="0.25">
      <c r="A4" t="s">
        <v>8</v>
      </c>
      <c r="B4" t="s">
        <v>9</v>
      </c>
      <c r="C4" s="2">
        <v>1800000</v>
      </c>
      <c r="D4" s="2" t="s">
        <v>60</v>
      </c>
      <c r="E4">
        <f>XLOOKUP(A4,'FS Mapping'!A:A,'FS Mapping'!B:B)</f>
      </c>
    </row>
    <row r="5" spans="1:5" x14ac:dyDescent="0.25">
      <c r="A5" t="s">
        <v>10</v>
      </c>
      <c r="B5" t="s">
        <v>11</v>
      </c>
      <c r="C5" s="2">
        <v>2200000</v>
      </c>
      <c r="D5" s="2" t="s">
        <v>60</v>
      </c>
      <c r="E5">
        <f>XLOOKUP(A5,'FS Mapping'!A:A,'FS Mapping'!B:B)</f>
      </c>
    </row>
    <row r="6" spans="1:5" x14ac:dyDescent="0.25">
      <c r="A6" t="s">
        <v>12</v>
      </c>
      <c r="B6" t="s">
        <v>13</v>
      </c>
      <c r="C6" s="2">
        <v>80000</v>
      </c>
      <c r="D6" s="2" t="s">
        <v>60</v>
      </c>
      <c r="E6">
        <f>XLOOKUP(A6,'FS Mapping'!A:A,'FS Mapping'!B:B)</f>
      </c>
    </row>
    <row r="7" spans="1:5" x14ac:dyDescent="0.25">
      <c r="A7" t="s">
        <v>14</v>
      </c>
      <c r="B7" t="s">
        <v>15</v>
      </c>
      <c r="C7" s="2">
        <v>8000000</v>
      </c>
      <c r="D7" s="2" t="s">
        <v>60</v>
      </c>
      <c r="E7">
        <f>XLOOKUP(A7,'FS Mapping'!A:A,'FS Mapping'!B:B)</f>
      </c>
    </row>
    <row r="8" spans="1:5" x14ac:dyDescent="0.25">
      <c r="A8" t="s">
        <v>17</v>
      </c>
      <c r="B8" t="s">
        <v>18</v>
      </c>
      <c r="C8" s="2" t="s">
        <v>60</v>
      </c>
      <c r="D8" s="2">
        <v>1600000</v>
      </c>
      <c r="E8">
        <f>XLOOKUP(A8,'FS Mapping'!A:A,'FS Mapping'!B:B)</f>
      </c>
    </row>
    <row r="9" spans="1:5" x14ac:dyDescent="0.25">
      <c r="A9" t="s">
        <v>20</v>
      </c>
      <c r="B9" t="s">
        <v>21</v>
      </c>
      <c r="C9" s="2" t="s">
        <v>60</v>
      </c>
      <c r="D9" s="2">
        <v>1100000</v>
      </c>
      <c r="E9">
        <f>XLOOKUP(A9,'FS Mapping'!A:A,'FS Mapping'!B:B)</f>
      </c>
    </row>
    <row r="10" spans="1:5" x14ac:dyDescent="0.25">
      <c r="A10" t="s">
        <v>23</v>
      </c>
      <c r="B10" t="s">
        <v>24</v>
      </c>
      <c r="C10" s="2" t="s">
        <v>60</v>
      </c>
      <c r="D10" s="2">
        <v>180000</v>
      </c>
      <c r="E10">
        <f>XLOOKUP(A10,'FS Mapping'!A:A,'FS Mapping'!B:B)</f>
      </c>
    </row>
    <row r="11" spans="1:5" x14ac:dyDescent="0.25">
      <c r="A11" t="s">
        <v>25</v>
      </c>
      <c r="B11" t="s">
        <v>26</v>
      </c>
      <c r="C11" s="2" t="s">
        <v>60</v>
      </c>
      <c r="D11" s="2">
        <v>120000</v>
      </c>
      <c r="E11">
        <f>XLOOKUP(A11,'FS Mapping'!A:A,'FS Mapping'!B:B)</f>
      </c>
    </row>
    <row r="12" spans="1:5" x14ac:dyDescent="0.25">
      <c r="A12" t="s">
        <v>27</v>
      </c>
      <c r="B12" t="s">
        <v>63</v>
      </c>
      <c r="C12" s="2" t="s">
        <v>60</v>
      </c>
      <c r="D12" s="2">
        <v>3000000</v>
      </c>
      <c r="E12">
        <f>XLOOKUP(A12,'FS Mapping'!A:A,'FS Mapping'!B:B)</f>
      </c>
    </row>
    <row r="13" spans="1:5" x14ac:dyDescent="0.25">
      <c r="A13" t="s">
        <v>30</v>
      </c>
      <c r="B13" t="s">
        <v>31</v>
      </c>
      <c r="C13" s="2" t="s">
        <v>60</v>
      </c>
      <c r="D13" s="2">
        <v>4000000</v>
      </c>
      <c r="E13">
        <f>XLOOKUP(A13,'FS Mapping'!A:A,'FS Mapping'!B:B)</f>
      </c>
    </row>
    <row r="14" spans="1:5" x14ac:dyDescent="0.25">
      <c r="A14" t="s">
        <v>33</v>
      </c>
      <c r="B14" t="s">
        <v>34</v>
      </c>
      <c r="C14" s="2" t="s">
        <v>60</v>
      </c>
      <c r="D14" s="2">
        <v>1850000</v>
      </c>
      <c r="E14">
        <f>XLOOKUP(A14,'FS Mapping'!A:A,'FS Mapping'!B:B)</f>
      </c>
    </row>
    <row r="15" spans="1:5" x14ac:dyDescent="0.25">
      <c r="A15" t="s">
        <v>35</v>
      </c>
      <c r="B15" t="s">
        <v>64</v>
      </c>
      <c r="C15" s="2" t="s">
        <v>60</v>
      </c>
      <c r="D15" s="2">
        <v>16110000</v>
      </c>
      <c r="E15">
        <f>XLOOKUP(A15,'FS Mapping'!A:A,'FS Mapping'!B:B)</f>
      </c>
    </row>
    <row r="16" spans="1:5" x14ac:dyDescent="0.25">
      <c r="A16" t="s">
        <v>38</v>
      </c>
      <c r="B16" t="s">
        <v>39</v>
      </c>
      <c r="C16" s="2">
        <v>9200000</v>
      </c>
      <c r="D16" s="2" t="s">
        <v>60</v>
      </c>
      <c r="E16">
        <f>XLOOKUP(A16,'FS Mapping'!A:A,'FS Mapping'!B:B)</f>
      </c>
    </row>
    <row r="17" spans="1:5" x14ac:dyDescent="0.25">
      <c r="A17" t="s">
        <v>40</v>
      </c>
      <c r="B17" t="s">
        <v>41</v>
      </c>
      <c r="C17" s="2">
        <v>2100000</v>
      </c>
      <c r="D17" s="2" t="s">
        <v>60</v>
      </c>
      <c r="E17">
        <f>XLOOKUP(A17,'FS Mapping'!A:A,'FS Mapping'!B:B)</f>
      </c>
    </row>
    <row r="18" spans="1:5" x14ac:dyDescent="0.25">
      <c r="A18" t="s">
        <v>43</v>
      </c>
      <c r="B18" t="s">
        <v>44</v>
      </c>
      <c r="C18" s="2">
        <v>480000</v>
      </c>
      <c r="D18" s="2" t="s">
        <v>60</v>
      </c>
      <c r="E18">
        <f>XLOOKUP(A18,'FS Mapping'!A:A,'FS Mapping'!B:B)</f>
      </c>
    </row>
    <row r="19" spans="1:5" x14ac:dyDescent="0.25">
      <c r="A19" t="s">
        <v>45</v>
      </c>
      <c r="B19" t="s">
        <v>46</v>
      </c>
      <c r="C19" s="2">
        <v>600000</v>
      </c>
      <c r="D19" s="2" t="s">
        <v>60</v>
      </c>
      <c r="E19">
        <f>XLOOKUP(A19,'FS Mapping'!A:A,'FS Mapping'!B:B)</f>
      </c>
    </row>
    <row r="20" spans="1:5" x14ac:dyDescent="0.25">
      <c r="A20" t="s">
        <v>47</v>
      </c>
      <c r="B20" t="s">
        <v>48</v>
      </c>
      <c r="C20" s="2">
        <v>210000</v>
      </c>
      <c r="D20" s="2" t="s">
        <v>60</v>
      </c>
      <c r="E20">
        <f>XLOOKUP(A20,'FS Mapping'!A:A,'FS Mapping'!B:B)</f>
      </c>
    </row>
    <row r="21" spans="1:5" x14ac:dyDescent="0.25">
      <c r="A21" t="s">
        <v>49</v>
      </c>
      <c r="B21" t="s">
        <v>50</v>
      </c>
      <c r="C21" s="2">
        <v>320000</v>
      </c>
      <c r="D21" s="2" t="s">
        <v>60</v>
      </c>
      <c r="E21">
        <f>XLOOKUP(A21,'FS Mapping'!A:A,'FS Mapping'!B:B)</f>
      </c>
    </row>
    <row r="22" spans="1:5" x14ac:dyDescent="0.25">
      <c r="A22" t="s">
        <v>51</v>
      </c>
      <c r="B22" t="s">
        <v>52</v>
      </c>
      <c r="C22" s="2">
        <v>150000</v>
      </c>
      <c r="D22" s="2" t="s">
        <v>60</v>
      </c>
      <c r="E22">
        <f>XLOOKUP(A22,'FS Mapping'!A:A,'FS Mapping'!B:B)</f>
      </c>
    </row>
    <row r="23" spans="1:5" x14ac:dyDescent="0.25">
      <c r="A23" t="s">
        <v>53</v>
      </c>
      <c r="B23" t="s">
        <v>54</v>
      </c>
      <c r="C23" s="2">
        <v>270000</v>
      </c>
      <c r="D23" s="2" t="s">
        <v>60</v>
      </c>
      <c r="E23">
        <f>XLOOKUP(A23,'FS Mapping'!A:A,'FS Mapping'!B:B)</f>
      </c>
    </row>
    <row r="25" spans="2:4" x14ac:dyDescent="0.25">
      <c r="B25" s="4" t="s">
        <v>65</v>
      </c>
      <c r="C25" s="5">
        <f>SUM(C2:C23)</f>
      </c>
      <c r="D25" s="5">
        <f>SUM(D2:D23)</f>
      </c>
    </row>
    <row r="26" spans="2:3" x14ac:dyDescent="0.25">
      <c r="B26" s="6" t="s">
        <v>66</v>
      </c>
      <c r="C26" s="2">
        <f>C25-D25</f>
      </c>
    </row>
  </sheetData>
  <conditionalFormatting sqref="C26">
    <cfRule type="expression" dxfId="0" priority="1">
      <formula>C26&lt;&gt;0</formula>
    </cfRule>
    <cfRule type="cellIs" dxfId="1" priority="2" operator="equal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30" customWidth="1"/>
    <col min="2" max="2" width="18" customWidth="1"/>
  </cols>
  <sheetData>
    <row r="1" spans="1:1" x14ac:dyDescent="0.25">
      <c r="A1" s="7" t="s">
        <v>67</v>
      </c>
    </row>
    <row r="3" spans="1:2" x14ac:dyDescent="0.25">
      <c r="A3" s="4" t="s">
        <v>36</v>
      </c>
      <c r="B3" s="2">
        <f>SUMIF('Trial Balance'!$F:$F,"Revenue",'Trial Balance'!$D:$D)</f>
      </c>
    </row>
    <row r="4" spans="1:2" x14ac:dyDescent="0.25">
      <c r="A4" t="s">
        <v>39</v>
      </c>
      <c r="B4" s="2">
        <f>SUMIF('Trial Balance'!$F:$F,"Cost of Goods Sold",'Trial Balance'!$C:$C)</f>
      </c>
    </row>
    <row r="6" spans="1:2" x14ac:dyDescent="0.25">
      <c r="A6" s="4" t="s">
        <v>68</v>
      </c>
      <c r="B6" s="5">
        <f>B3-B4</f>
      </c>
    </row>
    <row r="8" spans="1:1" x14ac:dyDescent="0.25">
      <c r="A8" s="7" t="s">
        <v>69</v>
      </c>
    </row>
    <row r="9" spans="1:2" x14ac:dyDescent="0.25">
      <c r="A9" t="s">
        <v>41</v>
      </c>
      <c r="B9" s="2">
        <f>SUMIF('Trial Balance'!$F:$F,"Salaries &amp; Wages",'Trial Balance'!$C:$C)</f>
      </c>
    </row>
    <row r="10" spans="1:2" x14ac:dyDescent="0.25">
      <c r="A10" t="s">
        <v>44</v>
      </c>
      <c r="B10" s="2">
        <f>SUMIF('Trial Balance'!$F:$F,"Rent Expense",'Trial Balance'!$C:$C)</f>
      </c>
    </row>
    <row r="11" spans="1:2" x14ac:dyDescent="0.25">
      <c r="A11" t="s">
        <v>46</v>
      </c>
      <c r="B11" s="2">
        <f>SUMIF('Trial Balance'!$F:$F,"Depreciation Expense",'Trial Balance'!$C:$C)</f>
      </c>
    </row>
    <row r="12" spans="1:2" x14ac:dyDescent="0.25">
      <c r="A12" t="s">
        <v>48</v>
      </c>
      <c r="B12" s="2">
        <f>SUMIF('Trial Balance'!$F:$F,"Utilities Expense",'Trial Balance'!$C:$C)</f>
      </c>
    </row>
    <row r="13" spans="1:2" x14ac:dyDescent="0.25">
      <c r="A13" t="s">
        <v>50</v>
      </c>
      <c r="B13" s="2">
        <f>SUMIF('Trial Balance'!$F:$F,"Marketing Expense",'Trial Balance'!$C:$C)</f>
      </c>
    </row>
    <row r="14" spans="1:2" x14ac:dyDescent="0.25">
      <c r="A14" t="s">
        <v>52</v>
      </c>
      <c r="B14" s="2">
        <f>SUMIF('Trial Balance'!$F:$F,"Other Operating Expenses",'Trial Balance'!$C:$C)</f>
      </c>
    </row>
    <row r="15" spans="1:2" x14ac:dyDescent="0.25">
      <c r="A15" s="4" t="s">
        <v>70</v>
      </c>
      <c r="B15" s="5">
        <f>SUM(B9:B14)</f>
      </c>
    </row>
    <row r="16" spans="1:2" x14ac:dyDescent="0.25">
      <c r="A16" s="4" t="s">
        <v>71</v>
      </c>
      <c r="B16" s="5">
        <f>B6-B15</f>
      </c>
    </row>
    <row r="17" spans="1:2" x14ac:dyDescent="0.25">
      <c r="A17" t="s">
        <v>54</v>
      </c>
      <c r="B17" s="2">
        <f>SUMIF('Trial Balance'!$F:$F,"Interest Expense",'Trial Balance'!$C:$C)</f>
      </c>
    </row>
    <row r="19" spans="1:2" x14ac:dyDescent="0.25">
      <c r="A19" s="7" t="s">
        <v>72</v>
      </c>
      <c r="B19" s="8">
        <f>B16-B17</f>
      </c>
    </row>
    <row r="21" spans="1:2" x14ac:dyDescent="0.25">
      <c r="A21" t="s">
        <v>73</v>
      </c>
      <c r="B21" s="9">
        <f>B6/B3</f>
      </c>
    </row>
    <row r="22" spans="1:2" x14ac:dyDescent="0.25">
      <c r="A22" t="s">
        <v>74</v>
      </c>
      <c r="B22" s="9">
        <f>B19/B3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30" customWidth="1"/>
    <col min="2" max="2" width="18" customWidth="1"/>
  </cols>
  <sheetData>
    <row r="1" spans="1:1" x14ac:dyDescent="0.25">
      <c r="A1" s="7" t="s">
        <v>75</v>
      </c>
    </row>
    <row r="3" spans="1:1" x14ac:dyDescent="0.25">
      <c r="A3" s="7" t="s">
        <v>76</v>
      </c>
    </row>
    <row r="4" spans="1:2" x14ac:dyDescent="0.25">
      <c r="A4" t="s">
        <v>5</v>
      </c>
      <c r="B4" s="2">
        <f>SUMIF('Trial Balance'!$F:$F,"Cash &amp; Bank",'Trial Balance'!$C:$C)</f>
      </c>
    </row>
    <row r="5" spans="1:2" x14ac:dyDescent="0.25">
      <c r="A5" t="s">
        <v>9</v>
      </c>
      <c r="B5" s="2">
        <f>SUMIF('Trial Balance'!$F:$F,"Trade Receivables",'Trial Balance'!$C:$C)</f>
      </c>
    </row>
    <row r="6" spans="1:2" x14ac:dyDescent="0.25">
      <c r="A6" t="s">
        <v>11</v>
      </c>
      <c r="B6" s="2">
        <f>SUMIF('Trial Balance'!$F:$F,"Inventory",'Trial Balance'!$C:$C)</f>
      </c>
    </row>
    <row r="7" spans="1:2" x14ac:dyDescent="0.25">
      <c r="A7" t="s">
        <v>13</v>
      </c>
      <c r="B7" s="2">
        <f>SUMIF('Trial Balance'!$F:$F,"Prepaid Expenses",'Trial Balance'!$C:$C)</f>
      </c>
    </row>
    <row r="8" spans="1:2" x14ac:dyDescent="0.25">
      <c r="A8" s="4" t="s">
        <v>77</v>
      </c>
      <c r="B8" s="5">
        <f>SUM(B4:B7)</f>
      </c>
    </row>
    <row r="10" spans="1:2" x14ac:dyDescent="0.25">
      <c r="A10" t="s">
        <v>15</v>
      </c>
      <c r="B10" s="2">
        <f>SUMIF('Trial Balance'!$F:$F,"Fixed Assets (Gross)",'Trial Balance'!$C:$C)</f>
      </c>
    </row>
    <row r="11" spans="1:2" x14ac:dyDescent="0.25">
      <c r="A11" t="s">
        <v>78</v>
      </c>
      <c r="B11" s="2">
        <f>-SUMIF('Trial Balance'!$F:$F,"Accumulated Depreciation",'Trial Balance'!$D:$D)</f>
      </c>
    </row>
    <row r="12" spans="1:2" x14ac:dyDescent="0.25">
      <c r="A12" s="4" t="s">
        <v>79</v>
      </c>
      <c r="B12" s="5">
        <f>B10+B11</f>
      </c>
    </row>
    <row r="13" spans="1:2" x14ac:dyDescent="0.25">
      <c r="A13" s="7" t="s">
        <v>80</v>
      </c>
      <c r="B13" s="10">
        <f>B8+B12</f>
      </c>
    </row>
    <row r="15" spans="1:1" x14ac:dyDescent="0.25">
      <c r="A15" s="7" t="s">
        <v>81</v>
      </c>
    </row>
    <row r="16" spans="1:2" x14ac:dyDescent="0.25">
      <c r="A16" t="s">
        <v>21</v>
      </c>
      <c r="B16" s="2">
        <f>SUMIF('Trial Balance'!$F:$F,"Trade Payables",'Trial Balance'!$D:$D)</f>
      </c>
    </row>
    <row r="17" spans="1:2" x14ac:dyDescent="0.25">
      <c r="A17" t="s">
        <v>24</v>
      </c>
      <c r="B17" s="2">
        <f>SUMIF('Trial Balance'!$F:$F,"GST Payable",'Trial Balance'!$D:$D)</f>
      </c>
    </row>
    <row r="18" spans="1:2" x14ac:dyDescent="0.25">
      <c r="A18" t="s">
        <v>26</v>
      </c>
      <c r="B18" s="2">
        <f>SUMIF('Trial Balance'!$F:$F,"Accrued Expenses",'Trial Balance'!$D:$D)</f>
      </c>
    </row>
    <row r="19" spans="1:2" x14ac:dyDescent="0.25">
      <c r="A19" s="4" t="s">
        <v>82</v>
      </c>
      <c r="B19" s="5">
        <f>SUM(B16:B18)</f>
      </c>
    </row>
    <row r="20" spans="1:2" x14ac:dyDescent="0.25">
      <c r="A20" t="s">
        <v>63</v>
      </c>
      <c r="B20" s="2">
        <f>SUMIF('Trial Balance'!$F:$F,"Bank Loan",'Trial Balance'!$D:$D)</f>
      </c>
    </row>
    <row r="21" spans="1:2" x14ac:dyDescent="0.25">
      <c r="A21" s="4" t="s">
        <v>83</v>
      </c>
      <c r="B21" s="5">
        <f>B19+B20</f>
      </c>
    </row>
    <row r="23" spans="1:1" x14ac:dyDescent="0.25">
      <c r="A23" s="7" t="s">
        <v>32</v>
      </c>
    </row>
    <row r="24" spans="1:2" x14ac:dyDescent="0.25">
      <c r="A24" t="s">
        <v>31</v>
      </c>
      <c r="B24" s="2">
        <f>SUMIF('Trial Balance'!$F:$F,"Share Capital",'Trial Balance'!$D:$D)</f>
      </c>
    </row>
    <row r="25" spans="1:2" x14ac:dyDescent="0.25">
      <c r="A25" t="s">
        <v>84</v>
      </c>
      <c r="B25" s="2">
        <f>SUMIF('Trial Balance'!$F:$F,"Retained Earnings (Opening)",'Trial Balance'!$D:$D)</f>
      </c>
    </row>
    <row r="26" spans="1:2" x14ac:dyDescent="0.25">
      <c r="A26" t="s">
        <v>85</v>
      </c>
      <c r="B26" s="2">
        <f>'Profit &amp; Loss'!B19</f>
      </c>
    </row>
    <row r="27" spans="1:2" x14ac:dyDescent="0.25">
      <c r="A27" s="4" t="s">
        <v>86</v>
      </c>
      <c r="B27" s="5">
        <f>B25+B26</f>
      </c>
    </row>
    <row r="28" spans="1:2" x14ac:dyDescent="0.25">
      <c r="A28" s="4" t="s">
        <v>87</v>
      </c>
      <c r="B28" s="5">
        <f>B24+B27</f>
      </c>
    </row>
    <row r="30" spans="1:2" x14ac:dyDescent="0.25">
      <c r="A30" s="7" t="s">
        <v>88</v>
      </c>
      <c r="B30" s="10">
        <f>B21+B28</f>
      </c>
    </row>
    <row r="32" spans="1:2" x14ac:dyDescent="0.25">
      <c r="A32" s="6" t="s">
        <v>89</v>
      </c>
      <c r="B32" s="2">
        <f>B13-B30</f>
      </c>
    </row>
  </sheetData>
  <conditionalFormatting sqref="B32">
    <cfRule type="expression" dxfId="2" priority="1">
      <formula>B32&lt;&gt;0</formula>
    </cfRule>
    <cfRule type="cellIs" dxfId="3" priority="2" operator="equal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00" customWidth="1"/>
  </cols>
  <sheetData>
    <row r="1" spans="1:1" s="11" customFormat="1" x14ac:dyDescent="0.25">
      <c r="A1" s="11" t="s">
        <v>90</v>
      </c>
    </row>
    <row r="2" spans="1:1" x14ac:dyDescent="0.25">
      <c r="A2" t="s">
        <v>60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60</v>
      </c>
    </row>
    <row r="7" spans="1:1" x14ac:dyDescent="0.25">
      <c r="A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FS Mapping</vt:lpstr>
      <vt:lpstr>Trial Balance</vt:lpstr>
      <vt:lpstr>Profit &amp; Loss</vt:lpstr>
      <vt:lpstr>Balance Sheet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2026-10-02T06:03:36Z</dcterms:modified>
</cp:coreProperties>
</file>